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 tabRatio="507" activeTab="3"/>
  </bookViews>
  <sheets>
    <sheet name="Sheet1" sheetId="1" r:id="rId1"/>
    <sheet name="Sheet2" sheetId="2" r:id="rId2"/>
    <sheet name="Sheet3" sheetId="3" r:id="rId3"/>
    <sheet name="Sheet5" sheetId="5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0" i="5" l="1"/>
  <c r="E26" i="5"/>
  <c r="E23" i="5"/>
  <c r="B22" i="5"/>
  <c r="E17" i="5"/>
  <c r="E16" i="5"/>
  <c r="B20" i="5" s="1"/>
  <c r="B2" i="5"/>
  <c r="B4" i="5" l="1"/>
  <c r="E21" i="5" s="1"/>
  <c r="E24" i="5" s="1"/>
  <c r="E18" i="5"/>
  <c r="E28" i="5"/>
  <c r="E32" i="5" s="1"/>
  <c r="B5" i="5"/>
  <c r="E22" i="5" s="1"/>
  <c r="B7" i="5" l="1"/>
  <c r="H14" i="2"/>
  <c r="H15" i="2"/>
  <c r="H11" i="2"/>
  <c r="H10" i="2"/>
  <c r="I9" i="2"/>
  <c r="H9" i="2"/>
  <c r="C16" i="3"/>
  <c r="C14" i="3"/>
  <c r="D11" i="3"/>
  <c r="E11" i="3"/>
  <c r="F11" i="3"/>
  <c r="G11" i="3"/>
  <c r="C11" i="3"/>
  <c r="D10" i="3"/>
  <c r="E10" i="3"/>
  <c r="F10" i="3"/>
  <c r="G10" i="3"/>
  <c r="H10" i="3"/>
  <c r="C10" i="3"/>
  <c r="H7" i="3"/>
  <c r="H11" i="3" s="1"/>
  <c r="B17" i="5" l="1"/>
  <c r="B12" i="5"/>
  <c r="B15" i="5"/>
  <c r="C12" i="3"/>
  <c r="M26" i="1"/>
  <c r="M27" i="1"/>
  <c r="M28" i="1"/>
  <c r="M29" i="1"/>
  <c r="M30" i="1"/>
  <c r="N37" i="1"/>
  <c r="L37" i="1"/>
  <c r="M37" i="1"/>
  <c r="K37" i="1"/>
  <c r="J37" i="1"/>
  <c r="G4" i="1"/>
  <c r="D5" i="1"/>
  <c r="H9" i="1"/>
  <c r="G9" i="1"/>
  <c r="G8" i="1"/>
  <c r="G10" i="1" s="1"/>
  <c r="G6" i="1"/>
  <c r="K20" i="1"/>
  <c r="K18" i="1"/>
  <c r="K17" i="1"/>
  <c r="G5" i="1"/>
  <c r="H2" i="1"/>
  <c r="F14" i="2"/>
  <c r="C21" i="2" s="1"/>
  <c r="F13" i="2"/>
  <c r="D14" i="2"/>
  <c r="E14" i="2"/>
  <c r="C14" i="2"/>
  <c r="D9" i="2"/>
  <c r="E9" i="2"/>
  <c r="C9" i="2"/>
  <c r="C55" i="1"/>
  <c r="D55" i="1"/>
  <c r="B55" i="1"/>
  <c r="D10" i="2" l="1"/>
  <c r="I5" i="2"/>
  <c r="I4" i="2"/>
  <c r="C10" i="2"/>
  <c r="H4" i="2"/>
  <c r="H5" i="2"/>
  <c r="E11" i="2"/>
  <c r="J5" i="2"/>
  <c r="J4" i="2"/>
  <c r="E10" i="2"/>
  <c r="H8" i="1"/>
  <c r="H10" i="1" s="1"/>
  <c r="I9" i="1"/>
  <c r="J9" i="1" s="1"/>
  <c r="K9" i="1" s="1"/>
  <c r="G7" i="1"/>
  <c r="I8" i="1"/>
  <c r="I10" i="1" s="1"/>
  <c r="H4" i="1"/>
  <c r="H6" i="1"/>
  <c r="I6" i="1" s="1"/>
  <c r="J6" i="1" s="1"/>
  <c r="K6" i="1" s="1"/>
  <c r="G3" i="1"/>
  <c r="K19" i="1"/>
  <c r="K21" i="1" s="1"/>
  <c r="L25" i="1" s="1"/>
  <c r="L26" i="1" s="1"/>
  <c r="L27" i="1" s="1"/>
  <c r="L28" i="1" s="1"/>
  <c r="L29" i="1" s="1"/>
  <c r="L30" i="1" s="1"/>
  <c r="I2" i="1"/>
  <c r="H5" i="1"/>
  <c r="D11" i="2"/>
  <c r="C11" i="2"/>
  <c r="C38" i="1"/>
  <c r="D38" i="1"/>
  <c r="D44" i="1" s="1"/>
  <c r="B38" i="1"/>
  <c r="C32" i="1"/>
  <c r="C49" i="1" s="1"/>
  <c r="D32" i="1"/>
  <c r="D49" i="1" s="1"/>
  <c r="B32" i="1"/>
  <c r="B49" i="1" s="1"/>
  <c r="C24" i="1"/>
  <c r="I34" i="1" s="1"/>
  <c r="D24" i="1"/>
  <c r="B24" i="1"/>
  <c r="H34" i="1" s="1"/>
  <c r="C19" i="1"/>
  <c r="D19" i="1"/>
  <c r="B19" i="1"/>
  <c r="C10" i="1"/>
  <c r="D10" i="1"/>
  <c r="B10" i="1"/>
  <c r="C5" i="1"/>
  <c r="B5" i="1"/>
  <c r="K5" i="2" l="1"/>
  <c r="K4" i="2"/>
  <c r="B44" i="1"/>
  <c r="H35" i="1"/>
  <c r="H36" i="1"/>
  <c r="C44" i="1"/>
  <c r="I35" i="1"/>
  <c r="I36" i="1" s="1"/>
  <c r="I4" i="1"/>
  <c r="J8" i="1"/>
  <c r="G11" i="1"/>
  <c r="G12" i="1" s="1"/>
  <c r="H7" i="1"/>
  <c r="H3" i="1"/>
  <c r="C7" i="1"/>
  <c r="C11" i="1" s="1"/>
  <c r="C12" i="1" s="1"/>
  <c r="C50" i="1" s="1"/>
  <c r="C51" i="1" s="1"/>
  <c r="C54" i="1"/>
  <c r="C56" i="1" s="1"/>
  <c r="C42" i="1"/>
  <c r="J2" i="1"/>
  <c r="I5" i="1"/>
  <c r="D7" i="1"/>
  <c r="D11" i="1" s="1"/>
  <c r="D12" i="1" s="1"/>
  <c r="D50" i="1" s="1"/>
  <c r="D51" i="1" s="1"/>
  <c r="D54" i="1"/>
  <c r="D56" i="1" s="1"/>
  <c r="D42" i="1"/>
  <c r="B7" i="1"/>
  <c r="B11" i="1" s="1"/>
  <c r="B12" i="1" s="1"/>
  <c r="B50" i="1" s="1"/>
  <c r="B51" i="1" s="1"/>
  <c r="B42" i="1"/>
  <c r="B54" i="1"/>
  <c r="B56" i="1" s="1"/>
  <c r="B39" i="1"/>
  <c r="D39" i="1"/>
  <c r="C39" i="1"/>
  <c r="D25" i="1"/>
  <c r="D43" i="1" s="1"/>
  <c r="D45" i="1" s="1"/>
  <c r="C25" i="1"/>
  <c r="C43" i="1" s="1"/>
  <c r="B25" i="1"/>
  <c r="B43" i="1" s="1"/>
  <c r="B45" i="1" s="1"/>
  <c r="C45" i="1" l="1"/>
  <c r="H11" i="1"/>
  <c r="H12" i="1" s="1"/>
  <c r="H37" i="1"/>
  <c r="M25" i="1"/>
  <c r="J4" i="1"/>
  <c r="K8" i="1"/>
  <c r="K10" i="1" s="1"/>
  <c r="J10" i="1"/>
  <c r="I7" i="1"/>
  <c r="B46" i="1"/>
  <c r="I3" i="1"/>
  <c r="D46" i="1"/>
  <c r="C46" i="1"/>
  <c r="J5" i="1"/>
  <c r="K2" i="1"/>
  <c r="K4" i="1" l="1"/>
  <c r="I11" i="1"/>
  <c r="I12" i="1" s="1"/>
  <c r="J7" i="1"/>
  <c r="J3" i="1"/>
  <c r="K5" i="1"/>
  <c r="K7" i="1" s="1"/>
  <c r="K11" i="1" l="1"/>
  <c r="K12" i="1" s="1"/>
  <c r="J11" i="1"/>
  <c r="J12" i="1" s="1"/>
  <c r="K3" i="1"/>
</calcChain>
</file>

<file path=xl/sharedStrings.xml><?xml version="1.0" encoding="utf-8"?>
<sst xmlns="http://schemas.openxmlformats.org/spreadsheetml/2006/main" count="183" uniqueCount="134">
  <si>
    <t>Income statement</t>
  </si>
  <si>
    <t>N</t>
  </si>
  <si>
    <t>N-1</t>
  </si>
  <si>
    <t>N-2</t>
  </si>
  <si>
    <t>Revenues</t>
  </si>
  <si>
    <t>Operating expenses (except deprec. &amp; amort.)</t>
  </si>
  <si>
    <t>Depreciations &amp; amortization</t>
  </si>
  <si>
    <t>EBIT</t>
  </si>
  <si>
    <t>Other operating revenues and expenses</t>
  </si>
  <si>
    <t>Operating Income</t>
  </si>
  <si>
    <t>Financial revenues</t>
  </si>
  <si>
    <t>Financial expenses (interests)</t>
  </si>
  <si>
    <t>Financial income</t>
  </si>
  <si>
    <t>Net income</t>
  </si>
  <si>
    <t>Balance Sheet - Asset</t>
  </si>
  <si>
    <t>Goodwill</t>
  </si>
  <si>
    <t>Other intangible assets</t>
  </si>
  <si>
    <t>Tangible assets &amp; real estate</t>
  </si>
  <si>
    <t>Other non-current assets</t>
  </si>
  <si>
    <t>Total non-current assets</t>
  </si>
  <si>
    <t>Inventories</t>
  </si>
  <si>
    <t>Receivables</t>
  </si>
  <si>
    <t>Other receivables</t>
  </si>
  <si>
    <t>Cash &amp; cash equivalent</t>
  </si>
  <si>
    <t>Total current assets</t>
  </si>
  <si>
    <t>TOTAL ASSETS</t>
  </si>
  <si>
    <t>Balance Sheet - Liabilities</t>
  </si>
  <si>
    <t>Long term financial debt</t>
  </si>
  <si>
    <t>Provisions for pensions</t>
  </si>
  <si>
    <t>Total non-current debt</t>
  </si>
  <si>
    <t>Short term financial debt</t>
  </si>
  <si>
    <t>Suppliers payables</t>
  </si>
  <si>
    <t>Bank overdraft (short term debt)</t>
  </si>
  <si>
    <t>Total current debt</t>
  </si>
  <si>
    <t>TOTAL LIABILITIES</t>
  </si>
  <si>
    <t>Income tax (20%)</t>
  </si>
  <si>
    <t>Other short term liabilities</t>
  </si>
  <si>
    <t>Shareholders equity</t>
  </si>
  <si>
    <t>Other debt from operations</t>
  </si>
  <si>
    <t xml:space="preserve">Other non-current liabilities </t>
  </si>
  <si>
    <t>N+1</t>
  </si>
  <si>
    <t>N+2</t>
  </si>
  <si>
    <t>N+3</t>
  </si>
  <si>
    <t>N+4</t>
  </si>
  <si>
    <t>N+5</t>
  </si>
  <si>
    <t>CURRENT LIABILITIES</t>
  </si>
  <si>
    <t>CAPITAL EMPLOYED</t>
  </si>
  <si>
    <t>ROCE=((EBIT/CAPITAL EMPLOYED)*100)</t>
  </si>
  <si>
    <t>CALCULATION OF ROCE</t>
  </si>
  <si>
    <t>CALCULATION OF ROE</t>
  </si>
  <si>
    <t>SHAREHOLDERS EQUITY</t>
  </si>
  <si>
    <t>ROE=((NET INCOME/SHAREHOLDERS EQUITY)*100)</t>
  </si>
  <si>
    <t>NET INCOME</t>
  </si>
  <si>
    <t>CALCULATION OF OPERATING MARGIN</t>
  </si>
  <si>
    <t>NET SALES</t>
  </si>
  <si>
    <t>OPERATING MARGIN=((EBIT/NET SALES)*100)</t>
  </si>
  <si>
    <t>MSAR</t>
  </si>
  <si>
    <t>OPERATING INCOME</t>
  </si>
  <si>
    <t>VALUE OF DEBT (M SAR)</t>
  </si>
  <si>
    <t>VALUE OF EQUITY (M SAR)</t>
  </si>
  <si>
    <t>COMPANY A</t>
  </si>
  <si>
    <t>COMPANY B</t>
  </si>
  <si>
    <t>COMPANY C</t>
  </si>
  <si>
    <t>V=D+E</t>
  </si>
  <si>
    <t>WEIGHT OF DEBT=D/V</t>
  </si>
  <si>
    <t>WEIGHT OF EQUITY=E/V</t>
  </si>
  <si>
    <t>DEBT WEIGHT ROUNDED OFF</t>
  </si>
  <si>
    <t>EQUITY WEIGHT</t>
  </si>
  <si>
    <t>AVERAGE WEIGHT</t>
  </si>
  <si>
    <t>COST OF EQUITY(Ke)</t>
  </si>
  <si>
    <t>COST OF DEBT(Kd)</t>
  </si>
  <si>
    <t>WACC CALCULATION FOR MH</t>
  </si>
  <si>
    <t>12+4=</t>
  </si>
  <si>
    <t>8(1-0.2)=</t>
  </si>
  <si>
    <t>WACC=(Wd*Kd)+(We*Ke)</t>
  </si>
  <si>
    <t>EBIT*OPERATING MARGIN</t>
  </si>
  <si>
    <t>REVENUES-DEPRECIATION-EBIT</t>
  </si>
  <si>
    <t>CAPEX IN N</t>
  </si>
  <si>
    <t>PPE IN N-1</t>
  </si>
  <si>
    <t>PPE IN N</t>
  </si>
  <si>
    <t>DAPRECIATION</t>
  </si>
  <si>
    <t>YEAR</t>
  </si>
  <si>
    <t>GROWING AT 4%</t>
  </si>
  <si>
    <t>MOVING AVERAGE</t>
  </si>
  <si>
    <t>DEPRE/AMORTIZATION</t>
  </si>
  <si>
    <t>CHANGE IN WC</t>
  </si>
  <si>
    <t>CAPEX</t>
  </si>
  <si>
    <t>WC IN N</t>
  </si>
  <si>
    <t>CA</t>
  </si>
  <si>
    <t>CL</t>
  </si>
  <si>
    <t>WC=</t>
  </si>
  <si>
    <t>FCF</t>
  </si>
  <si>
    <t>TERMINAL VALUE</t>
  </si>
  <si>
    <t>DISCOUNTING TO YEAR N</t>
  </si>
  <si>
    <t>PVIF 12%,N</t>
  </si>
  <si>
    <t>PV OF CASHFLOW</t>
  </si>
  <si>
    <t>FIRM VALUE</t>
  </si>
  <si>
    <t>DEBT VALUE</t>
  </si>
  <si>
    <t>EQUITY VALUE</t>
  </si>
  <si>
    <t>VALUE OF CASHFLOWS</t>
  </si>
  <si>
    <t>CASH AND CASH EQUIVALENTS</t>
  </si>
  <si>
    <t>OPERATING INCOME MULTIPLE</t>
  </si>
  <si>
    <t>A</t>
  </si>
  <si>
    <t>B</t>
  </si>
  <si>
    <t>C</t>
  </si>
  <si>
    <t>NET INCOME MULTIPLE</t>
  </si>
  <si>
    <t>AVERAGE</t>
  </si>
  <si>
    <t>MH COMPANY VALUATION</t>
  </si>
  <si>
    <t>FIRM VALUE USING EBIT MULTIPLE</t>
  </si>
  <si>
    <t>FIRM VALUE USING NET INCOME MULTIPLE</t>
  </si>
  <si>
    <t>EQUITY VALUE=FIRM VALUE-DEBT VALUE</t>
  </si>
  <si>
    <t>EBIT MULTIPLE</t>
  </si>
  <si>
    <t>net income computation</t>
  </si>
  <si>
    <t>Total sale=average covers*Days in a year*ave menu price</t>
  </si>
  <si>
    <t>Less cost of sales</t>
  </si>
  <si>
    <t>Raw material cost=30%*total sales</t>
  </si>
  <si>
    <t>Labor cost=10%*total sales</t>
  </si>
  <si>
    <t>Occupation cost</t>
  </si>
  <si>
    <t>Gross profit= total cost-cost of sales</t>
  </si>
  <si>
    <t>Less other expenses</t>
  </si>
  <si>
    <t>Fixed admin expenses</t>
  </si>
  <si>
    <t>General expenses</t>
  </si>
  <si>
    <t>Net income= Gross profit -Expenses</t>
  </si>
  <si>
    <t>Margin on variable cost= Gross profit/variable cost*100</t>
  </si>
  <si>
    <t>Margin on specific cost=Gross profit/Fixed cost*100</t>
  </si>
  <si>
    <t>Total fixed cost</t>
  </si>
  <si>
    <t>total</t>
  </si>
  <si>
    <t>Total variable cost</t>
  </si>
  <si>
    <t>Contribution per unit=selling price-variable cost per unit</t>
  </si>
  <si>
    <t>Break even with target profit=Fixed cost+target profit/Contribution per unit</t>
  </si>
  <si>
    <t>Services in lunch=3/1.5*130*130</t>
  </si>
  <si>
    <t>Services in the evening</t>
  </si>
  <si>
    <t>Number of menus to make 60000 profit</t>
  </si>
  <si>
    <t>Average time consumed by a customer taking her 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</si>
</sst>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right"/>
    </xf>
    <xf numFmtId="9" fontId="0" fillId="0" borderId="0" xfId="1" applyFont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164" fontId="0" fillId="0" borderId="0" xfId="0" applyNumberForma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6" xfId="0" applyBorder="1"/>
    <xf numFmtId="0" fontId="0" fillId="0" borderId="0" xfId="0" applyBorder="1" applyAlignment="1"/>
    <xf numFmtId="164" fontId="0" fillId="0" borderId="0" xfId="0" applyNumberFormat="1" applyBorder="1" applyAlignment="1"/>
    <xf numFmtId="164" fontId="4" fillId="0" borderId="7" xfId="0" applyNumberFormat="1" applyFont="1" applyBorder="1"/>
    <xf numFmtId="0" fontId="0" fillId="0" borderId="0" xfId="0" applyBorder="1"/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8" xfId="0" applyBorder="1"/>
    <xf numFmtId="0" fontId="0" fillId="0" borderId="9" xfId="0" applyBorder="1" applyAlignment="1"/>
    <xf numFmtId="164" fontId="4" fillId="0" borderId="10" xfId="0" applyNumberFormat="1" applyFont="1" applyBorder="1"/>
    <xf numFmtId="166" fontId="0" fillId="0" borderId="0" xfId="2" applyNumberFormat="1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9" fontId="0" fillId="0" borderId="0" xfId="1" applyFont="1" applyBorder="1"/>
    <xf numFmtId="9" fontId="0" fillId="0" borderId="7" xfId="0" applyNumberFormat="1" applyBorder="1"/>
    <xf numFmtId="9" fontId="0" fillId="0" borderId="0" xfId="0" applyNumberFormat="1" applyBorder="1"/>
    <xf numFmtId="9" fontId="0" fillId="0" borderId="0" xfId="1" applyFont="1" applyBorder="1" applyAlignment="1">
      <alignment horizontal="left"/>
    </xf>
    <xf numFmtId="0" fontId="2" fillId="0" borderId="8" xfId="0" applyFont="1" applyBorder="1"/>
    <xf numFmtId="9" fontId="0" fillId="0" borderId="9" xfId="1" applyFont="1" applyBorder="1"/>
    <xf numFmtId="0" fontId="0" fillId="0" borderId="9" xfId="0" applyBorder="1"/>
    <xf numFmtId="0" fontId="0" fillId="0" borderId="10" xfId="0" applyBorder="1"/>
    <xf numFmtId="0" fontId="5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opLeftCell="A28" workbookViewId="0">
      <selection activeCell="K2" sqref="K2"/>
    </sheetView>
  </sheetViews>
  <sheetFormatPr defaultRowHeight="15" x14ac:dyDescent="0.25"/>
  <cols>
    <col min="1" max="1" width="51" customWidth="1"/>
    <col min="2" max="2" width="10.42578125" style="6" customWidth="1"/>
    <col min="3" max="3" width="13.42578125" style="6" customWidth="1"/>
    <col min="4" max="4" width="12.42578125" style="6" bestFit="1" customWidth="1"/>
    <col min="5" max="6" width="12.42578125" style="6" customWidth="1"/>
    <col min="10" max="10" width="11.85546875" customWidth="1"/>
  </cols>
  <sheetData>
    <row r="1" spans="1:12" s="12" customFormat="1" x14ac:dyDescent="0.25">
      <c r="A1" s="1" t="s">
        <v>0</v>
      </c>
      <c r="B1" s="11" t="s">
        <v>1</v>
      </c>
      <c r="C1" s="11" t="s">
        <v>2</v>
      </c>
      <c r="D1" s="11" t="s">
        <v>3</v>
      </c>
      <c r="E1" s="11" t="s">
        <v>2</v>
      </c>
      <c r="F1" s="11" t="s">
        <v>1</v>
      </c>
      <c r="G1" s="12" t="s">
        <v>40</v>
      </c>
      <c r="H1" s="12" t="s">
        <v>41</v>
      </c>
      <c r="I1" s="12" t="s">
        <v>42</v>
      </c>
      <c r="J1" s="12" t="s">
        <v>43</v>
      </c>
      <c r="K1" s="12" t="s">
        <v>44</v>
      </c>
    </row>
    <row r="2" spans="1:12" x14ac:dyDescent="0.25">
      <c r="A2" t="s">
        <v>4</v>
      </c>
      <c r="B2" s="6">
        <v>4160</v>
      </c>
      <c r="C2" s="6">
        <v>3511</v>
      </c>
      <c r="D2" s="6">
        <v>3217</v>
      </c>
      <c r="G2" s="6">
        <v>4400</v>
      </c>
      <c r="H2">
        <f>1.15*G2</f>
        <v>5060</v>
      </c>
      <c r="I2">
        <f>1.1*H2</f>
        <v>5566</v>
      </c>
      <c r="J2">
        <f>1.05*I2</f>
        <v>5844.3</v>
      </c>
      <c r="K2">
        <f>1.02*J2</f>
        <v>5961.1860000000006</v>
      </c>
    </row>
    <row r="3" spans="1:12" x14ac:dyDescent="0.25">
      <c r="A3" t="s">
        <v>5</v>
      </c>
      <c r="B3" s="6">
        <v>-3636</v>
      </c>
      <c r="C3" s="6">
        <v>-3091</v>
      </c>
      <c r="D3" s="6">
        <v>-2814</v>
      </c>
      <c r="G3" s="15">
        <f>-(G2+G4-G5)</f>
        <v>-4048</v>
      </c>
      <c r="H3" s="15">
        <f t="shared" ref="H3:K3" si="0">-(H2+H4-H5)</f>
        <v>-4655.2000000000007</v>
      </c>
      <c r="I3" s="15">
        <f t="shared" si="0"/>
        <v>-5120.7999999999993</v>
      </c>
      <c r="J3" s="15">
        <f t="shared" si="0"/>
        <v>-5376.7</v>
      </c>
      <c r="K3" s="15">
        <f t="shared" si="0"/>
        <v>-5484.3860000000013</v>
      </c>
      <c r="L3" t="s">
        <v>76</v>
      </c>
    </row>
    <row r="4" spans="1:12" x14ac:dyDescent="0.25">
      <c r="A4" s="2" t="s">
        <v>6</v>
      </c>
      <c r="B4" s="7">
        <v>-152</v>
      </c>
      <c r="C4" s="7">
        <v>-134</v>
      </c>
      <c r="D4" s="7">
        <v>-129</v>
      </c>
      <c r="E4" s="18"/>
      <c r="F4" s="18"/>
      <c r="G4">
        <f>ROUND(-(0.04*G2),1)</f>
        <v>-176</v>
      </c>
      <c r="H4">
        <f t="shared" ref="H4:K4" si="1">ROUND(-(0.04*H2),1)</f>
        <v>-202.4</v>
      </c>
      <c r="I4">
        <f t="shared" si="1"/>
        <v>-222.6</v>
      </c>
      <c r="J4">
        <f t="shared" si="1"/>
        <v>-233.8</v>
      </c>
      <c r="K4">
        <f t="shared" si="1"/>
        <v>-238.4</v>
      </c>
    </row>
    <row r="5" spans="1:12" x14ac:dyDescent="0.25">
      <c r="A5" s="3" t="s">
        <v>7</v>
      </c>
      <c r="B5" s="8">
        <f>SUM(B2:B4)</f>
        <v>372</v>
      </c>
      <c r="C5" s="8">
        <f t="shared" ref="C5" si="2">SUM(C2:C4)</f>
        <v>286</v>
      </c>
      <c r="D5" s="8">
        <f>SUM(D2:D4)</f>
        <v>274</v>
      </c>
      <c r="E5" s="8"/>
      <c r="F5" s="8"/>
      <c r="G5">
        <f>ROUND(0.04*G2,1)</f>
        <v>176</v>
      </c>
      <c r="H5">
        <f t="shared" ref="H5:K5" si="3">ROUND(0.04*H2,1)</f>
        <v>202.4</v>
      </c>
      <c r="I5">
        <f t="shared" si="3"/>
        <v>222.6</v>
      </c>
      <c r="J5">
        <f t="shared" si="3"/>
        <v>233.8</v>
      </c>
      <c r="K5">
        <f t="shared" si="3"/>
        <v>238.4</v>
      </c>
      <c r="L5" t="s">
        <v>75</v>
      </c>
    </row>
    <row r="6" spans="1:12" x14ac:dyDescent="0.25">
      <c r="A6" s="2" t="s">
        <v>8</v>
      </c>
      <c r="B6" s="7">
        <v>-42</v>
      </c>
      <c r="C6" s="7">
        <v>-28.999999999999972</v>
      </c>
      <c r="D6" s="7">
        <v>-30.000000000000096</v>
      </c>
      <c r="E6" s="18"/>
      <c r="F6" s="18"/>
      <c r="G6">
        <f>ROUND(1.04*D6,1)</f>
        <v>-31.2</v>
      </c>
      <c r="H6">
        <f t="shared" ref="H6:K6" si="4">ROUND(1.04*G6,1)</f>
        <v>-32.4</v>
      </c>
      <c r="I6">
        <f t="shared" si="4"/>
        <v>-33.700000000000003</v>
      </c>
      <c r="J6">
        <f t="shared" si="4"/>
        <v>-35</v>
      </c>
      <c r="K6">
        <f t="shared" si="4"/>
        <v>-36.4</v>
      </c>
      <c r="L6" t="s">
        <v>82</v>
      </c>
    </row>
    <row r="7" spans="1:12" x14ac:dyDescent="0.25">
      <c r="A7" s="3" t="s">
        <v>9</v>
      </c>
      <c r="B7" s="8">
        <f>B5+B6</f>
        <v>330</v>
      </c>
      <c r="C7" s="8">
        <f t="shared" ref="C7:D7" si="5">C5+C6</f>
        <v>257</v>
      </c>
      <c r="D7" s="8">
        <f t="shared" si="5"/>
        <v>243.99999999999991</v>
      </c>
      <c r="E7" s="8"/>
      <c r="F7" s="8"/>
      <c r="G7">
        <f>G5+G6</f>
        <v>144.80000000000001</v>
      </c>
      <c r="H7">
        <f t="shared" ref="H7:K7" si="6">H5+H6</f>
        <v>170</v>
      </c>
      <c r="I7">
        <f t="shared" si="6"/>
        <v>188.89999999999998</v>
      </c>
      <c r="J7">
        <f t="shared" si="6"/>
        <v>198.8</v>
      </c>
      <c r="K7">
        <f t="shared" si="6"/>
        <v>202</v>
      </c>
    </row>
    <row r="8" spans="1:12" x14ac:dyDescent="0.25">
      <c r="A8" t="s">
        <v>10</v>
      </c>
      <c r="B8" s="6">
        <v>5</v>
      </c>
      <c r="C8" s="6">
        <v>5</v>
      </c>
      <c r="D8" s="6">
        <v>6</v>
      </c>
      <c r="E8" s="6">
        <v>5</v>
      </c>
      <c r="F8" s="6">
        <v>5</v>
      </c>
      <c r="G8" s="15">
        <f>AVERAGE(D8:F8)</f>
        <v>5.333333333333333</v>
      </c>
      <c r="H8" s="15">
        <f>AVERAGE(E8:G8)</f>
        <v>5.1111111111111107</v>
      </c>
      <c r="I8" s="15">
        <f>AVERAGE(F8:H8)</f>
        <v>5.1481481481481479</v>
      </c>
      <c r="J8" s="15">
        <f t="shared" ref="J8:K8" si="7">AVERAGE(G8:I8)</f>
        <v>5.1975308641975309</v>
      </c>
      <c r="K8" s="15">
        <f t="shared" si="7"/>
        <v>5.1522633744855968</v>
      </c>
      <c r="L8" t="s">
        <v>83</v>
      </c>
    </row>
    <row r="9" spans="1:12" x14ac:dyDescent="0.25">
      <c r="A9" s="2" t="s">
        <v>11</v>
      </c>
      <c r="B9" s="7">
        <v>-80</v>
      </c>
      <c r="C9" s="7">
        <v>-62</v>
      </c>
      <c r="D9" s="7">
        <v>-60</v>
      </c>
      <c r="E9" s="18">
        <v>-62</v>
      </c>
      <c r="F9" s="18">
        <v>-80</v>
      </c>
      <c r="G9" s="15">
        <f>AVERAGE(D9:F9)</f>
        <v>-67.333333333333329</v>
      </c>
      <c r="H9" s="15">
        <f t="shared" ref="H9:K9" si="8">AVERAGE(E9:G9)</f>
        <v>-69.777777777777771</v>
      </c>
      <c r="I9" s="15">
        <f t="shared" si="8"/>
        <v>-72.370370370370367</v>
      </c>
      <c r="J9" s="15">
        <f t="shared" si="8"/>
        <v>-69.827160493827151</v>
      </c>
      <c r="K9" s="15">
        <f t="shared" si="8"/>
        <v>-70.658436213991763</v>
      </c>
      <c r="L9" t="s">
        <v>83</v>
      </c>
    </row>
    <row r="10" spans="1:12" x14ac:dyDescent="0.25">
      <c r="A10" s="3" t="s">
        <v>12</v>
      </c>
      <c r="B10" s="8">
        <f>B9+B8</f>
        <v>-75</v>
      </c>
      <c r="C10" s="8">
        <f t="shared" ref="C10:D10" si="9">C9+C8</f>
        <v>-57</v>
      </c>
      <c r="D10" s="8">
        <f t="shared" si="9"/>
        <v>-54</v>
      </c>
      <c r="E10" s="8"/>
      <c r="F10" s="8"/>
      <c r="G10" s="15">
        <f>SUM(G8:G9)</f>
        <v>-61.999999999999993</v>
      </c>
      <c r="H10" s="15">
        <f t="shared" ref="H10:K10" si="10">SUM(H8:H9)</f>
        <v>-64.666666666666657</v>
      </c>
      <c r="I10" s="15">
        <f t="shared" si="10"/>
        <v>-67.222222222222214</v>
      </c>
      <c r="J10" s="15">
        <f t="shared" si="10"/>
        <v>-64.629629629629619</v>
      </c>
      <c r="K10" s="15">
        <f t="shared" si="10"/>
        <v>-65.506172839506164</v>
      </c>
    </row>
    <row r="11" spans="1:12" x14ac:dyDescent="0.25">
      <c r="A11" s="2" t="s">
        <v>35</v>
      </c>
      <c r="B11" s="7">
        <f>-(B7+B10)*20%</f>
        <v>-51</v>
      </c>
      <c r="C11" s="7">
        <f t="shared" ref="C11:K11" si="11">-(C7+C10)*20%</f>
        <v>-40</v>
      </c>
      <c r="D11" s="7">
        <f t="shared" si="11"/>
        <v>-37.999999999999986</v>
      </c>
      <c r="E11" s="7"/>
      <c r="F11" s="7"/>
      <c r="G11" s="7">
        <f t="shared" si="11"/>
        <v>-16.560000000000002</v>
      </c>
      <c r="H11" s="7">
        <f t="shared" si="11"/>
        <v>-21.06666666666667</v>
      </c>
      <c r="I11" s="7">
        <f t="shared" si="11"/>
        <v>-24.335555555555555</v>
      </c>
      <c r="J11" s="7">
        <f t="shared" si="11"/>
        <v>-26.834074074074081</v>
      </c>
      <c r="K11" s="7">
        <f t="shared" si="11"/>
        <v>-27.298765432098765</v>
      </c>
    </row>
    <row r="12" spans="1:12" x14ac:dyDescent="0.25">
      <c r="A12" s="3" t="s">
        <v>13</v>
      </c>
      <c r="B12" s="8">
        <f>B7+B10+B11</f>
        <v>204</v>
      </c>
      <c r="C12" s="8">
        <f t="shared" ref="C12:K12" si="12">C7+C10+C11</f>
        <v>160</v>
      </c>
      <c r="D12" s="8">
        <f t="shared" si="12"/>
        <v>151.99999999999994</v>
      </c>
      <c r="E12" s="8"/>
      <c r="F12" s="8"/>
      <c r="G12" s="8">
        <f t="shared" si="12"/>
        <v>66.240000000000009</v>
      </c>
      <c r="H12" s="8">
        <f t="shared" si="12"/>
        <v>84.26666666666668</v>
      </c>
      <c r="I12" s="8">
        <f t="shared" si="12"/>
        <v>97.342222222222205</v>
      </c>
      <c r="J12" s="8">
        <f t="shared" si="12"/>
        <v>107.33629629629631</v>
      </c>
      <c r="K12" s="8">
        <f t="shared" si="12"/>
        <v>109.19506172839506</v>
      </c>
    </row>
    <row r="14" spans="1:12" s="12" customFormat="1" x14ac:dyDescent="0.25">
      <c r="A14" s="1" t="s">
        <v>14</v>
      </c>
      <c r="B14" s="11" t="s">
        <v>1</v>
      </c>
      <c r="C14" s="11" t="s">
        <v>2</v>
      </c>
      <c r="D14" s="11" t="s">
        <v>3</v>
      </c>
      <c r="E14" s="11"/>
      <c r="F14" s="11"/>
    </row>
    <row r="15" spans="1:12" x14ac:dyDescent="0.25">
      <c r="A15" t="s">
        <v>15</v>
      </c>
      <c r="B15" s="6">
        <v>933</v>
      </c>
      <c r="C15" s="6">
        <v>972</v>
      </c>
      <c r="D15" s="6">
        <v>520</v>
      </c>
    </row>
    <row r="16" spans="1:12" x14ac:dyDescent="0.25">
      <c r="A16" t="s">
        <v>16</v>
      </c>
      <c r="B16" s="6">
        <v>320</v>
      </c>
      <c r="C16" s="6">
        <v>320</v>
      </c>
      <c r="D16" s="6">
        <v>180</v>
      </c>
    </row>
    <row r="17" spans="1:13" x14ac:dyDescent="0.25">
      <c r="A17" t="s">
        <v>17</v>
      </c>
      <c r="B17" s="6">
        <v>1277</v>
      </c>
      <c r="C17" s="6">
        <v>1282</v>
      </c>
      <c r="D17" s="6">
        <v>937</v>
      </c>
      <c r="H17" t="s">
        <v>77</v>
      </c>
      <c r="J17" t="s">
        <v>78</v>
      </c>
      <c r="K17" s="15">
        <f>C17+C18</f>
        <v>1385</v>
      </c>
    </row>
    <row r="18" spans="1:13" x14ac:dyDescent="0.25">
      <c r="A18" s="2" t="s">
        <v>18</v>
      </c>
      <c r="B18" s="7">
        <v>98</v>
      </c>
      <c r="C18" s="7">
        <v>103</v>
      </c>
      <c r="D18" s="7">
        <v>81</v>
      </c>
      <c r="E18" s="18"/>
      <c r="F18" s="18"/>
      <c r="J18" t="s">
        <v>79</v>
      </c>
      <c r="K18" s="15">
        <f>B17+B18</f>
        <v>1375</v>
      </c>
    </row>
    <row r="19" spans="1:13" x14ac:dyDescent="0.25">
      <c r="A19" s="3" t="s">
        <v>19</v>
      </c>
      <c r="B19" s="8">
        <f>SUM(B15:B18)</f>
        <v>2628</v>
      </c>
      <c r="C19" s="8">
        <f t="shared" ref="C19:D19" si="13">SUM(C15:C18)</f>
        <v>2677</v>
      </c>
      <c r="D19" s="8">
        <f t="shared" si="13"/>
        <v>1718</v>
      </c>
      <c r="E19" s="8"/>
      <c r="F19" s="8"/>
      <c r="K19" s="15">
        <f>K18-K17</f>
        <v>-10</v>
      </c>
    </row>
    <row r="20" spans="1:13" x14ac:dyDescent="0.25">
      <c r="A20" t="s">
        <v>20</v>
      </c>
      <c r="B20" s="6">
        <v>531</v>
      </c>
      <c r="C20" s="6">
        <v>519.99999999999864</v>
      </c>
      <c r="D20" s="6">
        <v>456.99999999999972</v>
      </c>
      <c r="J20" t="s">
        <v>80</v>
      </c>
      <c r="K20" s="15">
        <f>-B4</f>
        <v>152</v>
      </c>
    </row>
    <row r="21" spans="1:13" x14ac:dyDescent="0.25">
      <c r="A21" t="s">
        <v>21</v>
      </c>
      <c r="B21" s="6">
        <v>630</v>
      </c>
      <c r="C21" s="6">
        <v>580</v>
      </c>
      <c r="D21" s="6">
        <v>475</v>
      </c>
      <c r="J21" s="16" t="s">
        <v>77</v>
      </c>
      <c r="K21" s="17">
        <f>K20+K19</f>
        <v>142</v>
      </c>
    </row>
    <row r="22" spans="1:13" x14ac:dyDescent="0.25">
      <c r="A22" t="s">
        <v>22</v>
      </c>
      <c r="B22" s="6">
        <v>200</v>
      </c>
      <c r="C22" s="6">
        <v>102</v>
      </c>
      <c r="D22" s="6">
        <v>107</v>
      </c>
    </row>
    <row r="23" spans="1:13" ht="15.75" thickBot="1" x14ac:dyDescent="0.3">
      <c r="A23" s="2" t="s">
        <v>23</v>
      </c>
      <c r="B23" s="7">
        <v>147</v>
      </c>
      <c r="C23" s="7">
        <v>208</v>
      </c>
      <c r="D23" s="7">
        <v>290</v>
      </c>
      <c r="E23" s="18"/>
      <c r="F23" s="18"/>
    </row>
    <row r="24" spans="1:13" ht="30" x14ac:dyDescent="0.25">
      <c r="A24" s="4" t="s">
        <v>24</v>
      </c>
      <c r="B24" s="9">
        <f>SUM(B20:B23)</f>
        <v>1508</v>
      </c>
      <c r="C24" s="9">
        <f t="shared" ref="C24:D24" si="14">SUM(C20:C23)</f>
        <v>1409.9999999999986</v>
      </c>
      <c r="D24" s="9">
        <f t="shared" si="14"/>
        <v>1328.9999999999998</v>
      </c>
      <c r="E24" s="19"/>
      <c r="F24" s="19"/>
      <c r="H24" s="20" t="s">
        <v>81</v>
      </c>
      <c r="I24" s="21" t="s">
        <v>52</v>
      </c>
      <c r="J24" s="21" t="s">
        <v>84</v>
      </c>
      <c r="K24" s="21" t="s">
        <v>85</v>
      </c>
      <c r="L24" s="21" t="s">
        <v>86</v>
      </c>
      <c r="M24" s="22" t="s">
        <v>91</v>
      </c>
    </row>
    <row r="25" spans="1:13" x14ac:dyDescent="0.25">
      <c r="A25" s="3" t="s">
        <v>25</v>
      </c>
      <c r="B25" s="8">
        <f>B19+B24</f>
        <v>4136</v>
      </c>
      <c r="C25" s="8">
        <f t="shared" ref="C25:D25" si="15">C19+C24</f>
        <v>4086.9999999999986</v>
      </c>
      <c r="D25" s="8">
        <f t="shared" si="15"/>
        <v>3047</v>
      </c>
      <c r="E25" s="8"/>
      <c r="F25" s="8"/>
      <c r="H25" s="23" t="s">
        <v>1</v>
      </c>
      <c r="I25" s="24">
        <v>204</v>
      </c>
      <c r="J25" s="24">
        <v>152</v>
      </c>
      <c r="K25" s="24">
        <v>14</v>
      </c>
      <c r="L25" s="25">
        <f>K21</f>
        <v>142</v>
      </c>
      <c r="M25" s="26">
        <f>I25+J25-K25-L25</f>
        <v>200</v>
      </c>
    </row>
    <row r="26" spans="1:13" x14ac:dyDescent="0.25">
      <c r="H26" s="23" t="s">
        <v>40</v>
      </c>
      <c r="I26" s="24">
        <v>66.2</v>
      </c>
      <c r="J26" s="27">
        <v>176</v>
      </c>
      <c r="K26" s="24">
        <v>228</v>
      </c>
      <c r="L26" s="24">
        <f>ROUND(1.04*L25,1)</f>
        <v>147.69999999999999</v>
      </c>
      <c r="M26" s="26">
        <f t="shared" ref="M26:M30" si="16">I26+J26-K26-L26</f>
        <v>-133.5</v>
      </c>
    </row>
    <row r="27" spans="1:13" s="12" customFormat="1" x14ac:dyDescent="0.25">
      <c r="A27" s="1" t="s">
        <v>26</v>
      </c>
      <c r="B27" s="11" t="s">
        <v>1</v>
      </c>
      <c r="C27" s="11" t="s">
        <v>2</v>
      </c>
      <c r="D27" s="11" t="s">
        <v>3</v>
      </c>
      <c r="E27" s="11"/>
      <c r="F27" s="11"/>
      <c r="H27" s="28" t="s">
        <v>41</v>
      </c>
      <c r="I27" s="29">
        <v>84.3</v>
      </c>
      <c r="J27" s="24">
        <v>202.4</v>
      </c>
      <c r="K27" s="29">
        <v>66</v>
      </c>
      <c r="L27" s="24">
        <f t="shared" ref="L27:L29" si="17">ROUND(1.04*L26,1)</f>
        <v>153.6</v>
      </c>
      <c r="M27" s="26">
        <f t="shared" si="16"/>
        <v>67.099999999999994</v>
      </c>
    </row>
    <row r="28" spans="1:13" x14ac:dyDescent="0.25">
      <c r="A28" s="3" t="s">
        <v>37</v>
      </c>
      <c r="B28" s="8">
        <v>1416</v>
      </c>
      <c r="C28" s="8">
        <v>1199</v>
      </c>
      <c r="D28" s="8">
        <v>1063</v>
      </c>
      <c r="E28" s="8"/>
      <c r="F28" s="8"/>
      <c r="H28" s="23" t="s">
        <v>42</v>
      </c>
      <c r="I28" s="24">
        <v>97.3</v>
      </c>
      <c r="J28" s="24">
        <v>222.6</v>
      </c>
      <c r="K28" s="24">
        <v>50.6</v>
      </c>
      <c r="L28" s="24">
        <f t="shared" si="17"/>
        <v>159.69999999999999</v>
      </c>
      <c r="M28" s="26">
        <f t="shared" si="16"/>
        <v>109.59999999999997</v>
      </c>
    </row>
    <row r="29" spans="1:13" x14ac:dyDescent="0.25">
      <c r="A29" t="s">
        <v>27</v>
      </c>
      <c r="B29" s="6">
        <v>988</v>
      </c>
      <c r="C29" s="6">
        <v>1131</v>
      </c>
      <c r="D29" s="6">
        <v>563</v>
      </c>
      <c r="H29" s="23" t="s">
        <v>43</v>
      </c>
      <c r="I29" s="24">
        <v>107.3</v>
      </c>
      <c r="J29" s="24">
        <v>233.8</v>
      </c>
      <c r="K29" s="24">
        <v>27.8</v>
      </c>
      <c r="L29" s="24">
        <f t="shared" si="17"/>
        <v>166.1</v>
      </c>
      <c r="M29" s="26">
        <f t="shared" si="16"/>
        <v>147.20000000000002</v>
      </c>
    </row>
    <row r="30" spans="1:13" ht="15.75" thickBot="1" x14ac:dyDescent="0.3">
      <c r="A30" t="s">
        <v>28</v>
      </c>
      <c r="B30" s="6">
        <v>220</v>
      </c>
      <c r="C30" s="6">
        <v>343</v>
      </c>
      <c r="D30" s="6">
        <v>276</v>
      </c>
      <c r="H30" s="30" t="s">
        <v>44</v>
      </c>
      <c r="I30" s="31">
        <v>109.2</v>
      </c>
      <c r="J30" s="31">
        <v>238.4</v>
      </c>
      <c r="K30" s="31">
        <v>11.7</v>
      </c>
      <c r="L30" s="31">
        <f>ROUND(1.04*L29,1)</f>
        <v>172.7</v>
      </c>
      <c r="M30" s="32">
        <f t="shared" si="16"/>
        <v>163.20000000000005</v>
      </c>
    </row>
    <row r="31" spans="1:13" x14ac:dyDescent="0.25">
      <c r="A31" s="2" t="s">
        <v>39</v>
      </c>
      <c r="B31" s="7">
        <v>216</v>
      </c>
      <c r="C31" s="7">
        <v>202</v>
      </c>
      <c r="D31" s="7">
        <v>110</v>
      </c>
      <c r="E31" s="18"/>
      <c r="F31" s="18"/>
    </row>
    <row r="32" spans="1:13" x14ac:dyDescent="0.25">
      <c r="A32" s="3" t="s">
        <v>29</v>
      </c>
      <c r="B32" s="8">
        <f>SUM(B29:B31)</f>
        <v>1424</v>
      </c>
      <c r="C32" s="8">
        <f t="shared" ref="C32:D32" si="18">SUM(C29:C31)</f>
        <v>1676</v>
      </c>
      <c r="D32" s="8">
        <f t="shared" si="18"/>
        <v>949</v>
      </c>
      <c r="E32" s="8"/>
      <c r="F32"/>
    </row>
    <row r="33" spans="1:14" x14ac:dyDescent="0.25">
      <c r="A33" t="s">
        <v>30</v>
      </c>
      <c r="B33" s="6">
        <v>99</v>
      </c>
      <c r="C33" s="6">
        <v>92</v>
      </c>
      <c r="D33" s="6">
        <v>134</v>
      </c>
      <c r="F33"/>
      <c r="H33" t="s">
        <v>1</v>
      </c>
      <c r="I33" t="s">
        <v>2</v>
      </c>
      <c r="J33" t="s">
        <v>40</v>
      </c>
      <c r="K33" t="s">
        <v>41</v>
      </c>
      <c r="L33" t="s">
        <v>42</v>
      </c>
      <c r="M33" t="s">
        <v>43</v>
      </c>
      <c r="N33" t="s">
        <v>44</v>
      </c>
    </row>
    <row r="34" spans="1:14" x14ac:dyDescent="0.25">
      <c r="A34" t="s">
        <v>36</v>
      </c>
      <c r="B34" s="6">
        <v>47</v>
      </c>
      <c r="C34" s="6">
        <v>68</v>
      </c>
      <c r="D34" s="6">
        <v>35</v>
      </c>
      <c r="F34" t="s">
        <v>87</v>
      </c>
      <c r="G34" t="s">
        <v>88</v>
      </c>
      <c r="H34" s="15">
        <f>B24</f>
        <v>1508</v>
      </c>
      <c r="I34" s="15">
        <f>C24</f>
        <v>1409.9999999999986</v>
      </c>
    </row>
    <row r="35" spans="1:14" x14ac:dyDescent="0.25">
      <c r="A35" t="s">
        <v>31</v>
      </c>
      <c r="B35" s="6">
        <v>552</v>
      </c>
      <c r="C35" s="6">
        <v>478</v>
      </c>
      <c r="D35" s="6">
        <v>395</v>
      </c>
      <c r="F35"/>
      <c r="G35" t="s">
        <v>89</v>
      </c>
      <c r="H35" s="15">
        <f>B38</f>
        <v>1296</v>
      </c>
      <c r="I35" s="15">
        <f>C38</f>
        <v>1212</v>
      </c>
    </row>
    <row r="36" spans="1:14" x14ac:dyDescent="0.25">
      <c r="A36" t="s">
        <v>38</v>
      </c>
      <c r="B36" s="6">
        <v>378</v>
      </c>
      <c r="C36" s="6">
        <v>305</v>
      </c>
      <c r="D36" s="6">
        <v>256</v>
      </c>
      <c r="F36" t="s">
        <v>90</v>
      </c>
      <c r="H36">
        <f>H34-H35</f>
        <v>212</v>
      </c>
      <c r="I36">
        <f>I34-I35</f>
        <v>197.99999999999864</v>
      </c>
      <c r="J36">
        <v>440</v>
      </c>
      <c r="K36">
        <v>506</v>
      </c>
      <c r="L36">
        <v>556.6</v>
      </c>
      <c r="M36">
        <v>584.4</v>
      </c>
      <c r="N36">
        <v>596.1</v>
      </c>
    </row>
    <row r="37" spans="1:14" x14ac:dyDescent="0.25">
      <c r="A37" s="2" t="s">
        <v>32</v>
      </c>
      <c r="B37" s="7">
        <v>220</v>
      </c>
      <c r="C37" s="7">
        <v>269</v>
      </c>
      <c r="D37" s="7">
        <v>215</v>
      </c>
      <c r="E37" s="18"/>
      <c r="F37" t="s">
        <v>85</v>
      </c>
      <c r="H37">
        <f>H36-I36</f>
        <v>14.000000000001364</v>
      </c>
      <c r="J37">
        <f>J36-H36</f>
        <v>228</v>
      </c>
      <c r="K37">
        <f>K36-J36</f>
        <v>66</v>
      </c>
      <c r="L37">
        <f t="shared" ref="L37:M37" si="19">L36-K36</f>
        <v>50.600000000000023</v>
      </c>
      <c r="M37">
        <f t="shared" si="19"/>
        <v>27.799999999999955</v>
      </c>
      <c r="N37">
        <f>N36-M36</f>
        <v>11.700000000000045</v>
      </c>
    </row>
    <row r="38" spans="1:14" x14ac:dyDescent="0.25">
      <c r="A38" s="5" t="s">
        <v>33</v>
      </c>
      <c r="B38" s="10">
        <f>SUM(B33:B37)</f>
        <v>1296</v>
      </c>
      <c r="C38" s="10">
        <f t="shared" ref="C38:D38" si="20">SUM(C33:C37)</f>
        <v>1212</v>
      </c>
      <c r="D38" s="10">
        <f t="shared" si="20"/>
        <v>1035</v>
      </c>
      <c r="E38" s="19"/>
      <c r="F38"/>
    </row>
    <row r="39" spans="1:14" x14ac:dyDescent="0.25">
      <c r="A39" s="3" t="s">
        <v>34</v>
      </c>
      <c r="B39" s="8">
        <f>B28+B32+B38</f>
        <v>4136</v>
      </c>
      <c r="C39" s="8">
        <f t="shared" ref="C39:D39" si="21">C28+C32+C38</f>
        <v>4087</v>
      </c>
      <c r="D39" s="8">
        <f t="shared" si="21"/>
        <v>3047</v>
      </c>
      <c r="E39" s="8"/>
      <c r="F39"/>
    </row>
    <row r="40" spans="1:14" x14ac:dyDescent="0.25">
      <c r="F40"/>
    </row>
    <row r="41" spans="1:14" x14ac:dyDescent="0.25">
      <c r="A41" s="3" t="s">
        <v>48</v>
      </c>
    </row>
    <row r="42" spans="1:14" x14ac:dyDescent="0.25">
      <c r="A42" t="s">
        <v>7</v>
      </c>
      <c r="B42" s="6">
        <f>B5</f>
        <v>372</v>
      </c>
      <c r="C42" s="6">
        <f t="shared" ref="C42:D42" si="22">C5</f>
        <v>286</v>
      </c>
      <c r="D42" s="6">
        <f t="shared" si="22"/>
        <v>274</v>
      </c>
    </row>
    <row r="43" spans="1:14" x14ac:dyDescent="0.25">
      <c r="A43" t="s">
        <v>25</v>
      </c>
      <c r="B43" s="6">
        <f>B25</f>
        <v>4136</v>
      </c>
      <c r="C43" s="6">
        <f t="shared" ref="C43:D43" si="23">C25</f>
        <v>4086.9999999999986</v>
      </c>
      <c r="D43" s="6">
        <f t="shared" si="23"/>
        <v>3047</v>
      </c>
    </row>
    <row r="44" spans="1:14" x14ac:dyDescent="0.25">
      <c r="A44" t="s">
        <v>45</v>
      </c>
      <c r="B44" s="6">
        <f>B38</f>
        <v>1296</v>
      </c>
      <c r="C44" s="6">
        <f t="shared" ref="C44:D44" si="24">C38</f>
        <v>1212</v>
      </c>
      <c r="D44" s="6">
        <f t="shared" si="24"/>
        <v>1035</v>
      </c>
    </row>
    <row r="45" spans="1:14" x14ac:dyDescent="0.25">
      <c r="A45" t="s">
        <v>46</v>
      </c>
      <c r="B45" s="6">
        <f>B43-B44</f>
        <v>2840</v>
      </c>
      <c r="C45" s="6">
        <f t="shared" ref="C45:D45" si="25">C43-C44</f>
        <v>2874.9999999999986</v>
      </c>
      <c r="D45" s="6">
        <f t="shared" si="25"/>
        <v>2012</v>
      </c>
    </row>
    <row r="46" spans="1:14" x14ac:dyDescent="0.25">
      <c r="A46" t="s">
        <v>47</v>
      </c>
      <c r="B46" s="13">
        <f>B42/B45</f>
        <v>0.13098591549295774</v>
      </c>
      <c r="C46" s="13">
        <f t="shared" ref="C46:D46" si="26">C42/C45</f>
        <v>9.9478260869565266E-2</v>
      </c>
      <c r="D46" s="13">
        <f t="shared" si="26"/>
        <v>0.13618290258449303</v>
      </c>
      <c r="E46" s="13"/>
      <c r="F46" s="13"/>
    </row>
    <row r="48" spans="1:14" x14ac:dyDescent="0.25">
      <c r="A48" s="3" t="s">
        <v>49</v>
      </c>
    </row>
    <row r="49" spans="1:6" x14ac:dyDescent="0.25">
      <c r="A49" t="s">
        <v>50</v>
      </c>
      <c r="B49" s="6">
        <f>B32</f>
        <v>1424</v>
      </c>
      <c r="C49" s="6">
        <f t="shared" ref="C49:D49" si="27">C32</f>
        <v>1676</v>
      </c>
      <c r="D49" s="6">
        <f t="shared" si="27"/>
        <v>949</v>
      </c>
    </row>
    <row r="50" spans="1:6" x14ac:dyDescent="0.25">
      <c r="A50" t="s">
        <v>52</v>
      </c>
      <c r="B50" s="6">
        <f>B12</f>
        <v>204</v>
      </c>
      <c r="C50" s="6">
        <f t="shared" ref="C50:D50" si="28">C12</f>
        <v>160</v>
      </c>
      <c r="D50" s="6">
        <f t="shared" si="28"/>
        <v>151.99999999999994</v>
      </c>
    </row>
    <row r="51" spans="1:6" x14ac:dyDescent="0.25">
      <c r="A51" t="s">
        <v>51</v>
      </c>
      <c r="B51" s="13">
        <f>B50/B49</f>
        <v>0.14325842696629212</v>
      </c>
      <c r="C51" s="13">
        <f t="shared" ref="C51:D51" si="29">C50/C49</f>
        <v>9.5465393794749401E-2</v>
      </c>
      <c r="D51" s="13">
        <f t="shared" si="29"/>
        <v>0.16016859852476284</v>
      </c>
      <c r="E51" s="13"/>
      <c r="F51" s="13"/>
    </row>
    <row r="53" spans="1:6" x14ac:dyDescent="0.25">
      <c r="A53" s="3" t="s">
        <v>53</v>
      </c>
    </row>
    <row r="54" spans="1:6" x14ac:dyDescent="0.25">
      <c r="A54" t="s">
        <v>7</v>
      </c>
      <c r="B54" s="6">
        <f>B5</f>
        <v>372</v>
      </c>
      <c r="C54" s="6">
        <f t="shared" ref="C54:D54" si="30">C5</f>
        <v>286</v>
      </c>
      <c r="D54" s="6">
        <f t="shared" si="30"/>
        <v>274</v>
      </c>
    </row>
    <row r="55" spans="1:6" x14ac:dyDescent="0.25">
      <c r="A55" t="s">
        <v>54</v>
      </c>
      <c r="B55" s="6">
        <f>B2</f>
        <v>4160</v>
      </c>
      <c r="C55" s="6">
        <f t="shared" ref="C55:D55" si="31">C2</f>
        <v>3511</v>
      </c>
      <c r="D55" s="6">
        <f t="shared" si="31"/>
        <v>3217</v>
      </c>
    </row>
    <row r="56" spans="1:6" x14ac:dyDescent="0.25">
      <c r="A56" t="s">
        <v>55</v>
      </c>
      <c r="B56" s="13">
        <f>B54/B55</f>
        <v>8.9423076923076925E-2</v>
      </c>
      <c r="C56" s="13">
        <f t="shared" ref="C56:D56" si="32">C54/C55</f>
        <v>8.1458273996012534E-2</v>
      </c>
      <c r="D56" s="13">
        <f t="shared" si="32"/>
        <v>8.5172520982281633E-2</v>
      </c>
      <c r="E56" s="13"/>
      <c r="F56" s="13"/>
    </row>
  </sheetData>
  <pageMargins left="0.7" right="0.7" top="0.75" bottom="0.75" header="0.3" footer="0.3"/>
  <pageSetup paperSize="9" orientation="portrait" horizontalDpi="360" verticalDpi="360" r:id="rId1"/>
  <ignoredErrors>
    <ignoredError sqref="B32:C32 D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1"/>
  <sheetViews>
    <sheetView workbookViewId="0">
      <selection activeCell="L15" sqref="L15"/>
    </sheetView>
  </sheetViews>
  <sheetFormatPr defaultRowHeight="15" x14ac:dyDescent="0.25"/>
  <cols>
    <col min="2" max="2" width="24.7109375" style="3" bestFit="1" customWidth="1"/>
    <col min="3" max="3" width="12" customWidth="1"/>
    <col min="4" max="5" width="12" bestFit="1" customWidth="1"/>
    <col min="6" max="6" width="16.85546875" bestFit="1" customWidth="1"/>
    <col min="7" max="7" width="28.42578125" bestFit="1" customWidth="1"/>
  </cols>
  <sheetData>
    <row r="2" spans="2:11" ht="15.75" thickBot="1" x14ac:dyDescent="0.3"/>
    <row r="3" spans="2:11" s="3" customFormat="1" x14ac:dyDescent="0.25">
      <c r="B3" s="34" t="s">
        <v>56</v>
      </c>
      <c r="C3" s="35" t="s">
        <v>60</v>
      </c>
      <c r="D3" s="35" t="s">
        <v>61</v>
      </c>
      <c r="E3" s="35" t="s">
        <v>62</v>
      </c>
      <c r="F3" s="36"/>
      <c r="H3" s="3" t="s">
        <v>102</v>
      </c>
      <c r="I3" s="3" t="s">
        <v>103</v>
      </c>
      <c r="J3" s="3" t="s">
        <v>104</v>
      </c>
      <c r="K3" s="3" t="s">
        <v>106</v>
      </c>
    </row>
    <row r="4" spans="2:11" x14ac:dyDescent="0.25">
      <c r="B4" s="37" t="s">
        <v>57</v>
      </c>
      <c r="C4" s="27">
        <v>60</v>
      </c>
      <c r="D4" s="27">
        <v>70</v>
      </c>
      <c r="E4" s="27">
        <v>80</v>
      </c>
      <c r="F4" s="38"/>
      <c r="G4" t="s">
        <v>101</v>
      </c>
      <c r="H4">
        <f>ROUND(C9/C4,2)</f>
        <v>10</v>
      </c>
      <c r="I4">
        <f t="shared" ref="I4:J4" si="0">ROUND(D9/D4,2)</f>
        <v>11.43</v>
      </c>
      <c r="J4">
        <f t="shared" si="0"/>
        <v>10</v>
      </c>
      <c r="K4">
        <f>ROUND(AVERAGE(H4:J4),2)</f>
        <v>10.48</v>
      </c>
    </row>
    <row r="5" spans="2:11" x14ac:dyDescent="0.25">
      <c r="B5" s="37" t="s">
        <v>52</v>
      </c>
      <c r="C5" s="27">
        <v>50</v>
      </c>
      <c r="D5" s="27">
        <v>64</v>
      </c>
      <c r="E5" s="27">
        <v>45</v>
      </c>
      <c r="F5" s="38"/>
      <c r="G5" t="s">
        <v>105</v>
      </c>
      <c r="H5">
        <f>ROUND(C9/C5,2)</f>
        <v>12</v>
      </c>
      <c r="I5">
        <f t="shared" ref="I5:J5" si="1">ROUND(D9/D5,2)</f>
        <v>12.5</v>
      </c>
      <c r="J5">
        <f t="shared" si="1"/>
        <v>17.78</v>
      </c>
      <c r="K5">
        <f>ROUND(AVERAGE(H5:J5),2)</f>
        <v>14.09</v>
      </c>
    </row>
    <row r="6" spans="2:11" x14ac:dyDescent="0.25">
      <c r="B6" s="37" t="s">
        <v>58</v>
      </c>
      <c r="C6" s="27">
        <v>200</v>
      </c>
      <c r="D6" s="27">
        <v>300</v>
      </c>
      <c r="E6" s="27">
        <v>400</v>
      </c>
      <c r="F6" s="38"/>
    </row>
    <row r="7" spans="2:11" x14ac:dyDescent="0.25">
      <c r="B7" s="37" t="s">
        <v>59</v>
      </c>
      <c r="C7" s="27">
        <v>400</v>
      </c>
      <c r="D7" s="27">
        <v>500</v>
      </c>
      <c r="E7" s="27">
        <v>400</v>
      </c>
      <c r="F7" s="38"/>
      <c r="G7" t="s">
        <v>107</v>
      </c>
    </row>
    <row r="8" spans="2:11" x14ac:dyDescent="0.25">
      <c r="B8" s="37"/>
      <c r="C8" s="27"/>
      <c r="D8" s="27"/>
      <c r="E8" s="27"/>
      <c r="F8" s="38"/>
      <c r="H8" t="s">
        <v>101</v>
      </c>
      <c r="I8" t="s">
        <v>105</v>
      </c>
      <c r="J8" t="s">
        <v>57</v>
      </c>
      <c r="K8" t="s">
        <v>52</v>
      </c>
    </row>
    <row r="9" spans="2:11" x14ac:dyDescent="0.25">
      <c r="B9" s="37" t="s">
        <v>63</v>
      </c>
      <c r="C9" s="27">
        <f>C6+C7</f>
        <v>600</v>
      </c>
      <c r="D9" s="27">
        <f t="shared" ref="D9:E9" si="2">D6+D7</f>
        <v>800</v>
      </c>
      <c r="E9" s="27">
        <f t="shared" si="2"/>
        <v>800</v>
      </c>
      <c r="F9" s="38"/>
      <c r="H9">
        <f>K4</f>
        <v>10.48</v>
      </c>
      <c r="I9">
        <f>K5</f>
        <v>14.09</v>
      </c>
      <c r="J9">
        <v>350</v>
      </c>
      <c r="K9">
        <v>230</v>
      </c>
    </row>
    <row r="10" spans="2:11" x14ac:dyDescent="0.25">
      <c r="B10" s="37" t="s">
        <v>64</v>
      </c>
      <c r="C10" s="39">
        <f>C6/C9</f>
        <v>0.33333333333333331</v>
      </c>
      <c r="D10" s="39">
        <f t="shared" ref="D10:E10" si="3">D6/D9</f>
        <v>0.375</v>
      </c>
      <c r="E10" s="39">
        <f t="shared" si="3"/>
        <v>0.5</v>
      </c>
      <c r="F10" s="38"/>
      <c r="G10" t="s">
        <v>108</v>
      </c>
      <c r="H10">
        <f>H9*J9</f>
        <v>3668</v>
      </c>
    </row>
    <row r="11" spans="2:11" x14ac:dyDescent="0.25">
      <c r="B11" s="37" t="s">
        <v>65</v>
      </c>
      <c r="C11" s="39">
        <f>C7/C9</f>
        <v>0.66666666666666663</v>
      </c>
      <c r="D11" s="39">
        <f t="shared" ref="D11:E11" si="4">D7/D9</f>
        <v>0.625</v>
      </c>
      <c r="E11" s="39">
        <f t="shared" si="4"/>
        <v>0.5</v>
      </c>
      <c r="F11" s="38"/>
      <c r="G11" t="s">
        <v>109</v>
      </c>
      <c r="H11">
        <f>I9*K9</f>
        <v>3240.7</v>
      </c>
    </row>
    <row r="12" spans="2:11" x14ac:dyDescent="0.25">
      <c r="B12" s="37"/>
      <c r="C12" s="27"/>
      <c r="D12" s="27"/>
      <c r="E12" s="27"/>
      <c r="F12" s="38" t="s">
        <v>68</v>
      </c>
    </row>
    <row r="13" spans="2:11" x14ac:dyDescent="0.25">
      <c r="B13" s="37" t="s">
        <v>66</v>
      </c>
      <c r="C13" s="39">
        <v>0.3</v>
      </c>
      <c r="D13" s="39">
        <v>0.4</v>
      </c>
      <c r="E13" s="39">
        <v>0.5</v>
      </c>
      <c r="F13" s="40">
        <f>AVERAGE(C13:E13)</f>
        <v>0.39999999999999997</v>
      </c>
      <c r="G13" t="s">
        <v>110</v>
      </c>
    </row>
    <row r="14" spans="2:11" x14ac:dyDescent="0.25">
      <c r="B14" s="37" t="s">
        <v>67</v>
      </c>
      <c r="C14" s="41">
        <f>1-C13</f>
        <v>0.7</v>
      </c>
      <c r="D14" s="41">
        <f t="shared" ref="D14:E14" si="5">1-D13</f>
        <v>0.6</v>
      </c>
      <c r="E14" s="41">
        <f t="shared" si="5"/>
        <v>0.5</v>
      </c>
      <c r="F14" s="40">
        <f>AVERAGE(C14:E14)</f>
        <v>0.6</v>
      </c>
      <c r="G14" t="s">
        <v>111</v>
      </c>
      <c r="H14">
        <f>H10-2720</f>
        <v>948</v>
      </c>
    </row>
    <row r="15" spans="2:11" x14ac:dyDescent="0.25">
      <c r="B15" s="37"/>
      <c r="C15" s="41"/>
      <c r="D15" s="41"/>
      <c r="E15" s="41"/>
      <c r="F15" s="40"/>
      <c r="G15" t="s">
        <v>105</v>
      </c>
      <c r="H15">
        <f>H11-2720</f>
        <v>520.69999999999982</v>
      </c>
    </row>
    <row r="16" spans="2:11" x14ac:dyDescent="0.25">
      <c r="B16" s="37"/>
      <c r="C16" s="41"/>
      <c r="D16" s="41"/>
      <c r="E16" s="41"/>
      <c r="F16" s="40"/>
    </row>
    <row r="17" spans="2:6" x14ac:dyDescent="0.25">
      <c r="B17" s="37" t="s">
        <v>71</v>
      </c>
      <c r="C17" s="27"/>
      <c r="D17" s="27"/>
      <c r="E17" s="27"/>
      <c r="F17" s="38"/>
    </row>
    <row r="18" spans="2:6" x14ac:dyDescent="0.25">
      <c r="B18" s="37" t="s">
        <v>69</v>
      </c>
      <c r="C18" s="29" t="s">
        <v>72</v>
      </c>
      <c r="D18" s="42">
        <v>0.16</v>
      </c>
      <c r="E18" s="27"/>
      <c r="F18" s="38"/>
    </row>
    <row r="19" spans="2:6" x14ac:dyDescent="0.25">
      <c r="B19" s="37" t="s">
        <v>70</v>
      </c>
      <c r="C19" s="29" t="s">
        <v>73</v>
      </c>
      <c r="D19" s="42">
        <v>6.4000000000000001E-2</v>
      </c>
      <c r="E19" s="27"/>
      <c r="F19" s="38"/>
    </row>
    <row r="20" spans="2:6" x14ac:dyDescent="0.25">
      <c r="B20" s="37"/>
      <c r="C20" s="27"/>
      <c r="D20" s="27"/>
      <c r="E20" s="27"/>
      <c r="F20" s="38"/>
    </row>
    <row r="21" spans="2:6" ht="15.75" thickBot="1" x14ac:dyDescent="0.3">
      <c r="B21" s="43" t="s">
        <v>74</v>
      </c>
      <c r="C21" s="44">
        <f>(F13*D19)+(F14*D18)</f>
        <v>0.1216</v>
      </c>
      <c r="D21" s="45"/>
      <c r="E21" s="45"/>
      <c r="F21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16"/>
  <sheetViews>
    <sheetView workbookViewId="0">
      <selection activeCell="C21" sqref="C21"/>
    </sheetView>
  </sheetViews>
  <sheetFormatPr defaultRowHeight="15" x14ac:dyDescent="0.25"/>
  <cols>
    <col min="2" max="2" width="28.42578125" bestFit="1" customWidth="1"/>
    <col min="3" max="3" width="13.28515625" bestFit="1" customWidth="1"/>
    <col min="4" max="7" width="11.7109375" bestFit="1" customWidth="1"/>
    <col min="8" max="8" width="16.5703125" bestFit="1" customWidth="1"/>
  </cols>
  <sheetData>
    <row r="6" spans="2:8" x14ac:dyDescent="0.25">
      <c r="B6" t="s">
        <v>91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92</v>
      </c>
    </row>
    <row r="7" spans="2:8" x14ac:dyDescent="0.25">
      <c r="B7" t="s">
        <v>91</v>
      </c>
      <c r="C7" s="33">
        <v>150000</v>
      </c>
      <c r="D7" s="33">
        <v>170000</v>
      </c>
      <c r="E7" s="33">
        <v>200000</v>
      </c>
      <c r="F7" s="33">
        <v>240000</v>
      </c>
      <c r="G7" s="33">
        <v>280000</v>
      </c>
      <c r="H7" s="33">
        <f>(G7*1.02)/(0.12-0.02)</f>
        <v>2856000.0000000005</v>
      </c>
    </row>
    <row r="8" spans="2:8" x14ac:dyDescent="0.25">
      <c r="B8" t="s">
        <v>93</v>
      </c>
      <c r="C8" s="33"/>
      <c r="D8" s="33"/>
      <c r="E8" s="33"/>
      <c r="F8" s="33"/>
      <c r="G8" s="33"/>
      <c r="H8" s="33"/>
    </row>
    <row r="9" spans="2:8" x14ac:dyDescent="0.25">
      <c r="B9" t="s">
        <v>81</v>
      </c>
      <c r="C9">
        <v>1</v>
      </c>
      <c r="D9">
        <v>2</v>
      </c>
      <c r="E9">
        <v>3</v>
      </c>
      <c r="F9">
        <v>4</v>
      </c>
      <c r="G9">
        <v>5</v>
      </c>
      <c r="H9">
        <v>5</v>
      </c>
    </row>
    <row r="10" spans="2:8" x14ac:dyDescent="0.25">
      <c r="B10" t="s">
        <v>94</v>
      </c>
      <c r="C10">
        <f>ROUND((1.12)^-C9,4)</f>
        <v>0.89290000000000003</v>
      </c>
      <c r="D10">
        <f t="shared" ref="D10:H10" si="0">ROUND((1.12)^-D9,4)</f>
        <v>0.79720000000000002</v>
      </c>
      <c r="E10">
        <f t="shared" si="0"/>
        <v>0.71179999999999999</v>
      </c>
      <c r="F10">
        <f t="shared" si="0"/>
        <v>0.63549999999999995</v>
      </c>
      <c r="G10">
        <f t="shared" si="0"/>
        <v>0.56740000000000002</v>
      </c>
      <c r="H10">
        <f t="shared" si="0"/>
        <v>0.56740000000000002</v>
      </c>
    </row>
    <row r="11" spans="2:8" x14ac:dyDescent="0.25">
      <c r="B11" t="s">
        <v>95</v>
      </c>
      <c r="C11" s="33">
        <f>C7*C10</f>
        <v>133935</v>
      </c>
      <c r="D11" s="33">
        <f t="shared" ref="D11:H11" si="1">D7*D10</f>
        <v>135524</v>
      </c>
      <c r="E11" s="33">
        <f t="shared" si="1"/>
        <v>142360</v>
      </c>
      <c r="F11" s="33">
        <f t="shared" si="1"/>
        <v>152520</v>
      </c>
      <c r="G11" s="33">
        <f t="shared" si="1"/>
        <v>158872</v>
      </c>
      <c r="H11" s="33">
        <f t="shared" si="1"/>
        <v>1620494.4000000004</v>
      </c>
    </row>
    <row r="12" spans="2:8" x14ac:dyDescent="0.25">
      <c r="B12" t="s">
        <v>99</v>
      </c>
      <c r="C12" s="33">
        <f>SUM(C11:H11)</f>
        <v>2343705.4000000004</v>
      </c>
      <c r="D12" s="33"/>
      <c r="E12" s="33"/>
      <c r="F12" s="33"/>
      <c r="G12" s="33"/>
      <c r="H12" s="33"/>
    </row>
    <row r="13" spans="2:8" x14ac:dyDescent="0.25">
      <c r="B13" t="s">
        <v>100</v>
      </c>
      <c r="C13" s="33">
        <v>147000</v>
      </c>
      <c r="D13" s="33"/>
      <c r="E13" s="33"/>
      <c r="F13" s="33"/>
      <c r="G13" s="33"/>
      <c r="H13" s="33"/>
    </row>
    <row r="14" spans="2:8" x14ac:dyDescent="0.25">
      <c r="B14" t="s">
        <v>96</v>
      </c>
      <c r="C14" s="33">
        <f>C12+C13</f>
        <v>2490705.4000000004</v>
      </c>
      <c r="D14" s="33"/>
      <c r="E14" s="33"/>
      <c r="F14" s="33"/>
      <c r="G14" s="33"/>
      <c r="H14" s="33"/>
    </row>
    <row r="15" spans="2:8" x14ac:dyDescent="0.25">
      <c r="B15" t="s">
        <v>97</v>
      </c>
      <c r="C15" s="33">
        <v>2720000</v>
      </c>
      <c r="D15" s="33"/>
      <c r="E15" s="33"/>
      <c r="F15" s="33"/>
      <c r="G15" s="33"/>
      <c r="H15" s="33"/>
    </row>
    <row r="16" spans="2:8" x14ac:dyDescent="0.25">
      <c r="B16" t="s">
        <v>98</v>
      </c>
      <c r="C16" s="33">
        <f>C14-C15</f>
        <v>-229294.59999999963</v>
      </c>
      <c r="D16" s="33"/>
      <c r="E16" s="33"/>
      <c r="F16" s="33"/>
      <c r="G16" s="33"/>
      <c r="H16" s="33"/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13" workbookViewId="0">
      <selection activeCell="D29" sqref="D29"/>
    </sheetView>
  </sheetViews>
  <sheetFormatPr defaultRowHeight="15" x14ac:dyDescent="0.25"/>
  <cols>
    <col min="1" max="1" width="48.7109375" bestFit="1" customWidth="1"/>
    <col min="4" max="4" width="30" bestFit="1" customWidth="1"/>
  </cols>
  <sheetData>
    <row r="1" spans="1:5" ht="15.75" x14ac:dyDescent="0.25">
      <c r="A1" s="47" t="s">
        <v>112</v>
      </c>
    </row>
    <row r="2" spans="1:5" x14ac:dyDescent="0.25">
      <c r="A2" t="s">
        <v>113</v>
      </c>
      <c r="B2">
        <f>370*130*22</f>
        <v>1058200</v>
      </c>
    </row>
    <row r="3" spans="1:5" x14ac:dyDescent="0.25">
      <c r="A3" t="s">
        <v>114</v>
      </c>
    </row>
    <row r="4" spans="1:5" x14ac:dyDescent="0.25">
      <c r="A4" s="48" t="s">
        <v>115</v>
      </c>
      <c r="B4">
        <f>-(B2*0.3)</f>
        <v>-317460</v>
      </c>
    </row>
    <row r="5" spans="1:5" x14ac:dyDescent="0.25">
      <c r="A5" s="48" t="s">
        <v>116</v>
      </c>
      <c r="B5">
        <f>-(B2*0.1)</f>
        <v>-105820</v>
      </c>
    </row>
    <row r="6" spans="1:5" x14ac:dyDescent="0.25">
      <c r="A6" s="48" t="s">
        <v>117</v>
      </c>
      <c r="B6">
        <v>-180000</v>
      </c>
    </row>
    <row r="7" spans="1:5" x14ac:dyDescent="0.25">
      <c r="A7" s="49" t="s">
        <v>118</v>
      </c>
      <c r="B7">
        <f>B2+B4+B5+B6</f>
        <v>454920</v>
      </c>
    </row>
    <row r="9" spans="1:5" x14ac:dyDescent="0.25">
      <c r="A9" s="49" t="s">
        <v>119</v>
      </c>
    </row>
    <row r="10" spans="1:5" x14ac:dyDescent="0.25">
      <c r="A10" s="48" t="s">
        <v>120</v>
      </c>
      <c r="B10">
        <v>-320000</v>
      </c>
    </row>
    <row r="11" spans="1:5" x14ac:dyDescent="0.25">
      <c r="A11" s="48" t="s">
        <v>121</v>
      </c>
      <c r="B11">
        <v>-180000</v>
      </c>
    </row>
    <row r="12" spans="1:5" x14ac:dyDescent="0.25">
      <c r="A12" s="49" t="s">
        <v>122</v>
      </c>
      <c r="B12">
        <f>B7+B10+B11</f>
        <v>-45080</v>
      </c>
    </row>
    <row r="14" spans="1:5" x14ac:dyDescent="0.25">
      <c r="A14">
        <v>2.2999999999999998</v>
      </c>
    </row>
    <row r="15" spans="1:5" x14ac:dyDescent="0.25">
      <c r="A15" t="s">
        <v>123</v>
      </c>
      <c r="B15" s="14">
        <f>ROUND((B7/-(B4+B5+B6)),2)</f>
        <v>0.75</v>
      </c>
      <c r="D15" t="s">
        <v>125</v>
      </c>
    </row>
    <row r="16" spans="1:5" x14ac:dyDescent="0.25">
      <c r="C16" s="50"/>
      <c r="D16" s="49" t="s">
        <v>120</v>
      </c>
      <c r="E16">
        <f>-(B10)</f>
        <v>320000</v>
      </c>
    </row>
    <row r="17" spans="1:5" x14ac:dyDescent="0.25">
      <c r="A17" t="s">
        <v>124</v>
      </c>
      <c r="B17" s="14">
        <f>ROUND(B7/-(B10+B11),2)</f>
        <v>0.91</v>
      </c>
      <c r="C17" s="50"/>
      <c r="D17" s="49" t="s">
        <v>121</v>
      </c>
      <c r="E17">
        <f>-(B11)</f>
        <v>180000</v>
      </c>
    </row>
    <row r="18" spans="1:5" x14ac:dyDescent="0.25">
      <c r="D18" t="s">
        <v>126</v>
      </c>
      <c r="E18">
        <f>E16+E17</f>
        <v>500000</v>
      </c>
    </row>
    <row r="19" spans="1:5" x14ac:dyDescent="0.25">
      <c r="A19" t="s">
        <v>132</v>
      </c>
    </row>
    <row r="20" spans="1:5" x14ac:dyDescent="0.25">
      <c r="A20" t="s">
        <v>129</v>
      </c>
      <c r="B20">
        <f>ROUND(((E16+E17)+60000)/9.46,0)</f>
        <v>59197</v>
      </c>
      <c r="D20" t="s">
        <v>127</v>
      </c>
    </row>
    <row r="21" spans="1:5" x14ac:dyDescent="0.25">
      <c r="C21" s="50"/>
      <c r="D21" s="49" t="s">
        <v>115</v>
      </c>
      <c r="E21">
        <f>-(B4)</f>
        <v>317460</v>
      </c>
    </row>
    <row r="22" spans="1:5" x14ac:dyDescent="0.25">
      <c r="A22" t="s">
        <v>133</v>
      </c>
      <c r="B22">
        <f>110*130</f>
        <v>14300</v>
      </c>
      <c r="C22" s="50"/>
      <c r="D22" s="49" t="s">
        <v>116</v>
      </c>
      <c r="E22">
        <f>-(B5)</f>
        <v>105820</v>
      </c>
    </row>
    <row r="23" spans="1:5" x14ac:dyDescent="0.25">
      <c r="C23" s="50"/>
      <c r="D23" s="49" t="s">
        <v>117</v>
      </c>
      <c r="E23">
        <f>-(B6)</f>
        <v>180000</v>
      </c>
    </row>
    <row r="24" spans="1:5" x14ac:dyDescent="0.25">
      <c r="D24" s="49" t="s">
        <v>126</v>
      </c>
      <c r="E24">
        <f>E21+E22+E23</f>
        <v>603280</v>
      </c>
    </row>
    <row r="26" spans="1:5" x14ac:dyDescent="0.25">
      <c r="D26" s="49" t="s">
        <v>128</v>
      </c>
      <c r="E26">
        <f>22-(0.3*22)-(0.1*22)-(180000/48100)</f>
        <v>9.4577962577962573</v>
      </c>
    </row>
    <row r="28" spans="1:5" x14ac:dyDescent="0.25">
      <c r="D28" t="s">
        <v>129</v>
      </c>
      <c r="E28">
        <f>ROUND(((E16+E17)+60000)/9.46,0)</f>
        <v>59197</v>
      </c>
    </row>
    <row r="30" spans="1:5" x14ac:dyDescent="0.25">
      <c r="D30" t="s">
        <v>130</v>
      </c>
      <c r="E30">
        <f>3/1.5*130*130</f>
        <v>33800</v>
      </c>
    </row>
    <row r="32" spans="1:5" x14ac:dyDescent="0.25">
      <c r="D32" t="s">
        <v>131</v>
      </c>
      <c r="E32">
        <f>E28-E30</f>
        <v>25397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COUTTON</dc:creator>
  <cp:lastModifiedBy>UWEZO KENYA LIMITED</cp:lastModifiedBy>
  <dcterms:created xsi:type="dcterms:W3CDTF">2019-02-11T08:31:35Z</dcterms:created>
  <dcterms:modified xsi:type="dcterms:W3CDTF">2020-02-25T16:38:11Z</dcterms:modified>
</cp:coreProperties>
</file>